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arvez\"/>
    </mc:Choice>
  </mc:AlternateContent>
  <xr:revisionPtr revIDLastSave="0" documentId="13_ncr:1_{C5B8782C-E37C-48CC-8E9E-71A34F929C4C}" xr6:coauthVersionLast="47" xr6:coauthVersionMax="47" xr10:uidLastSave="{00000000-0000-0000-0000-000000000000}"/>
  <bookViews>
    <workbookView xWindow="19090" yWindow="-110" windowWidth="19420" windowHeight="11620" xr2:uid="{00000000-000D-0000-FFFF-FFFF00000000}"/>
  </bookViews>
  <sheets>
    <sheet name="Sheet1" sheetId="1" r:id="rId1"/>
    <sheet name="Sheet3" sheetId="10" r:id="rId2"/>
  </sheets>
  <definedNames>
    <definedName name="_xlnm.Print_Area" localSheetId="0">Sheet1!$A$1:$R$47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1" l="1"/>
  <c r="D18" i="1" l="1"/>
  <c r="D25" i="1"/>
  <c r="H38" i="1" s="1"/>
  <c r="Q14" i="1"/>
  <c r="Q13" i="1"/>
  <c r="Q12" i="1"/>
  <c r="Q11" i="1"/>
  <c r="Q9" i="1"/>
  <c r="Q8" i="1"/>
  <c r="P21" i="1" s="1"/>
  <c r="P28" i="1" s="1"/>
  <c r="Q28" i="1" s="1"/>
  <c r="R28" i="1" s="1"/>
  <c r="Q7" i="1"/>
  <c r="P20" i="1" s="1"/>
  <c r="P27" i="1" s="1"/>
  <c r="Q27" i="1" s="1"/>
  <c r="R27" i="1" s="1"/>
  <c r="Q6" i="1"/>
  <c r="P19" i="1" s="1"/>
  <c r="P26" i="1" s="1"/>
  <c r="Q26" i="1" s="1"/>
  <c r="R26" i="1" s="1"/>
  <c r="Q5" i="1"/>
  <c r="Q4" i="1"/>
  <c r="Q3" i="1"/>
  <c r="M7" i="1"/>
  <c r="L20" i="1" s="1"/>
  <c r="L27" i="1" s="1"/>
  <c r="M27" i="1" s="1"/>
  <c r="N27" i="1" s="1"/>
  <c r="M5" i="1"/>
  <c r="M4" i="1"/>
  <c r="L18" i="1" s="1"/>
  <c r="L25" i="1" s="1"/>
  <c r="M25" i="1" s="1"/>
  <c r="N25" i="1" s="1"/>
  <c r="M3" i="1"/>
  <c r="M14" i="1"/>
  <c r="M13" i="1"/>
  <c r="M12" i="1"/>
  <c r="M11" i="1"/>
  <c r="M9" i="1"/>
  <c r="M8" i="1"/>
  <c r="L21" i="1" s="1"/>
  <c r="L28" i="1" s="1"/>
  <c r="M28" i="1" s="1"/>
  <c r="N28" i="1" s="1"/>
  <c r="M6" i="1"/>
  <c r="I13" i="1"/>
  <c r="I12" i="1"/>
  <c r="I11" i="1"/>
  <c r="I9" i="1"/>
  <c r="I8" i="1"/>
  <c r="H21" i="1" s="1"/>
  <c r="H28" i="1" s="1"/>
  <c r="I28" i="1" s="1"/>
  <c r="J28" i="1" s="1"/>
  <c r="I7" i="1"/>
  <c r="H20" i="1" s="1"/>
  <c r="H27" i="1" s="1"/>
  <c r="I27" i="1" s="1"/>
  <c r="J27" i="1" s="1"/>
  <c r="I6" i="1"/>
  <c r="H19" i="1" s="1"/>
  <c r="H26" i="1" s="1"/>
  <c r="I26" i="1" s="1"/>
  <c r="J26" i="1" s="1"/>
  <c r="I3" i="1"/>
  <c r="E14" i="1"/>
  <c r="E13" i="1"/>
  <c r="E12" i="1"/>
  <c r="E11" i="1"/>
  <c r="E9" i="1"/>
  <c r="E8" i="1"/>
  <c r="D21" i="1" s="1"/>
  <c r="D28" i="1" s="1"/>
  <c r="E7" i="1"/>
  <c r="D20" i="1" s="1"/>
  <c r="D27" i="1" s="1"/>
  <c r="E6" i="1"/>
  <c r="D19" i="1" s="1"/>
  <c r="D26" i="1" s="1"/>
  <c r="E3" i="1"/>
  <c r="D22" i="1"/>
  <c r="D29" i="1" s="1"/>
  <c r="H18" i="1"/>
  <c r="H25" i="1"/>
  <c r="I25" i="1" s="1"/>
  <c r="J25" i="1" s="1"/>
  <c r="P18" i="1" l="1"/>
  <c r="P25" i="1" s="1"/>
  <c r="Q25" i="1" s="1"/>
  <c r="R25" i="1" s="1"/>
  <c r="M10" i="1"/>
  <c r="L17" i="1" s="1"/>
  <c r="L24" i="1" s="1"/>
  <c r="M24" i="1" s="1"/>
  <c r="N24" i="1" s="1"/>
  <c r="L19" i="1"/>
  <c r="L26" i="1" s="1"/>
  <c r="M26" i="1" s="1"/>
  <c r="N26" i="1" s="1"/>
  <c r="H17" i="1"/>
  <c r="H24" i="1" s="1"/>
  <c r="I24" i="1" s="1"/>
  <c r="J24" i="1" s="1"/>
  <c r="Q10" i="1"/>
  <c r="P17" i="1" s="1"/>
  <c r="P24" i="1" s="1"/>
  <c r="Q24" i="1" s="1"/>
  <c r="R24" i="1" s="1"/>
  <c r="R32" i="1" s="1"/>
  <c r="D40" i="1" s="1"/>
  <c r="D17" i="1"/>
  <c r="D24" i="1" s="1"/>
  <c r="H37" i="1" s="1"/>
  <c r="L22" i="1"/>
  <c r="L29" i="1" s="1"/>
  <c r="N29" i="1" s="1"/>
  <c r="N32" i="1" s="1"/>
  <c r="D39" i="1" s="1"/>
  <c r="P22" i="1"/>
  <c r="P29" i="1" s="1"/>
  <c r="R29" i="1" s="1"/>
  <c r="I38" i="1"/>
  <c r="J38" i="1" s="1"/>
  <c r="K38" i="1" s="1"/>
  <c r="H22" i="1"/>
  <c r="H29" i="1" s="1"/>
  <c r="J29" i="1" s="1"/>
  <c r="J32" i="1" s="1"/>
  <c r="E26" i="1"/>
  <c r="F26" i="1" s="1"/>
  <c r="H39" i="1"/>
  <c r="I39" i="1" s="1"/>
  <c r="J39" i="1" s="1"/>
  <c r="K39" i="1" s="1"/>
  <c r="H40" i="1"/>
  <c r="I40" i="1" s="1"/>
  <c r="J40" i="1" s="1"/>
  <c r="K40" i="1" s="1"/>
  <c r="E27" i="1"/>
  <c r="F27" i="1" s="1"/>
  <c r="H42" i="1"/>
  <c r="I42" i="1" s="1"/>
  <c r="J42" i="1" s="1"/>
  <c r="K42" i="1" s="1"/>
  <c r="F29" i="1"/>
  <c r="E29" i="1"/>
  <c r="E28" i="1"/>
  <c r="F28" i="1" s="1"/>
  <c r="H41" i="1"/>
  <c r="I41" i="1" s="1"/>
  <c r="J41" i="1" s="1"/>
  <c r="K41" i="1" s="1"/>
  <c r="E25" i="1"/>
  <c r="F25" i="1" s="1"/>
  <c r="M29" i="1" l="1"/>
  <c r="I29" i="1"/>
  <c r="E24" i="1"/>
  <c r="F24" i="1" s="1"/>
  <c r="Q29" i="1"/>
  <c r="D38" i="1"/>
  <c r="F32" i="1"/>
  <c r="H43" i="1"/>
  <c r="I37" i="1"/>
  <c r="C38" i="1" l="1"/>
  <c r="C39" i="1" s="1"/>
  <c r="C40" i="1" s="1"/>
  <c r="D41" i="1"/>
  <c r="J37" i="1"/>
  <c r="I43" i="1"/>
  <c r="I44" i="1" s="1"/>
  <c r="K37" i="1" l="1"/>
  <c r="K43" i="1" s="1"/>
  <c r="K44" i="1" s="1"/>
  <c r="J43" i="1"/>
  <c r="J44" i="1" s="1"/>
  <c r="J46" i="1" l="1"/>
</calcChain>
</file>

<file path=xl/sharedStrings.xml><?xml version="1.0" encoding="utf-8"?>
<sst xmlns="http://schemas.openxmlformats.org/spreadsheetml/2006/main" count="247" uniqueCount="127">
  <si>
    <t>Cause</t>
  </si>
  <si>
    <t>Vehicle type</t>
  </si>
  <si>
    <t xml:space="preserve">Break down </t>
  </si>
  <si>
    <t>Notes</t>
  </si>
  <si>
    <t>Number</t>
  </si>
  <si>
    <t>Year 5</t>
  </si>
  <si>
    <t>Year 10</t>
  </si>
  <si>
    <t>Year 20</t>
  </si>
  <si>
    <t>CAR</t>
  </si>
  <si>
    <t>Calc</t>
  </si>
  <si>
    <t>calc</t>
  </si>
  <si>
    <t>Car import</t>
  </si>
  <si>
    <t>Car carrier (8 cars at a time)</t>
  </si>
  <si>
    <t>No cars for first 5 years</t>
  </si>
  <si>
    <t>HCV carrier (one at a time)</t>
  </si>
  <si>
    <t>No HCV for first 5 years</t>
  </si>
  <si>
    <t>No additional cars</t>
  </si>
  <si>
    <t xml:space="preserve">Cruise Ships </t>
  </si>
  <si>
    <t>Busses (30 seater) 1/3</t>
  </si>
  <si>
    <t>Busses (10 seater) 1/6</t>
  </si>
  <si>
    <t>Taxi 1/6</t>
  </si>
  <si>
    <t>Rail</t>
  </si>
  <si>
    <t>No rail</t>
  </si>
  <si>
    <t>8% containers by rail</t>
  </si>
  <si>
    <t>Containers</t>
  </si>
  <si>
    <t>Truck</t>
  </si>
  <si>
    <t>Trucks removed</t>
  </si>
  <si>
    <t>0</t>
  </si>
  <si>
    <t>Trucks (28 tonne of cargo per truck)</t>
  </si>
  <si>
    <t>Total container trucks*0.08</t>
  </si>
  <si>
    <t>Truck North (37%)</t>
  </si>
  <si>
    <t>Truck South (63%)</t>
  </si>
  <si>
    <t>- 400,000*0.37*0.556 
- As per calculations sheet</t>
  </si>
  <si>
    <t>- 400,000*0.63*0.677 
- As per calculations sheet</t>
  </si>
  <si>
    <t>10 seat bus</t>
  </si>
  <si>
    <t>30 seat bus</t>
  </si>
  <si>
    <t>Container Trucks</t>
  </si>
  <si>
    <t>Car/HCV carrier</t>
  </si>
  <si>
    <t>Other trucks (Not containers)</t>
  </si>
  <si>
    <t>Cars</t>
  </si>
  <si>
    <t>60% of 160,000 cars imported
- Multiplied by 2 for traffic empty trucks entering</t>
  </si>
  <si>
    <t>No additional HCV
- Multiply by 2 for empty trucks entering port</t>
  </si>
  <si>
    <t>- 5,000 HCV by road per year
- Multiply by 2 for empty trucks entering port</t>
  </si>
  <si>
    <t xml:space="preserve">20 cruise ships (1500 Passengers)
-Multiplied by 2 for trips in and out </t>
  </si>
  <si>
    <t xml:space="preserve">30 cruise ships (1500 passengers)
-Multiplied by 2 for trips in and out </t>
  </si>
  <si>
    <t>Non-Container cargo trucks</t>
  </si>
  <si>
    <t>Yearly</t>
  </si>
  <si>
    <t>Daily</t>
  </si>
  <si>
    <t>-400 for berth 0 (at 1 per vehicle)(7e)(7dii) (per working day)
- Multiplied by 2 for both directions 
- Multiplied by 52*5 work days to get yearly traffic</t>
  </si>
  <si>
    <t>-400 for berth 0 (at 1 per vehicle)(7e)(7dii) (per working day)
-Multiplied by 2 for both directions 
- Multiplied by 52*5 work days to get yearly traffic</t>
  </si>
  <si>
    <t>2*9200</t>
  </si>
  <si>
    <t>9200 TEU yearly
- Multiplied by 2 for in and out movements
- One TEU per truck</t>
  </si>
  <si>
    <t>Ship Maintenance and Navy Personnel</t>
  </si>
  <si>
    <t>- 60 staff (at 1 per vehicle)(2ai)(1c) (per working day)
-plus prior staff
-Multiplied by 2 for both directions 
- Multiplied by 52 * 5 work days to get yearly traffic</t>
  </si>
  <si>
    <t>-40 Staff (at 1 per vehicle) (2ii)(1c) (per working day)
-plus prior staff
-Multiplied by 2 for both directions 
- Multiplied by 52 * 5 work days to get yearly traffic</t>
  </si>
  <si>
    <t>Cement</t>
  </si>
  <si>
    <t>- 47,040*0.37*0.556 
- As per calculations sheet</t>
  </si>
  <si>
    <t>- 47,040*0.63*0.677
- As per calculations sheet</t>
  </si>
  <si>
    <t>- 100,000*0.37*0.556 
- As per calculations sheet</t>
  </si>
  <si>
    <t>- 100,000*0.63*0.677 
- As per calculations sheet</t>
  </si>
  <si>
    <t>General Port Staff</t>
  </si>
  <si>
    <t>1,748,798 tonnes of cargo From 4Ai1 projected using Northport Wood Availability Forecast 2018 Figure 16.
- Multiplied by 2 for trips in and out</t>
  </si>
  <si>
    <t>2,257,561 tonnes of cargo From 4Ai1 projected using Northport Wood Availability Forecast 2018 Figure 16.
-Multiplied by 2 for trips in and out</t>
  </si>
  <si>
    <t>-300 current staff (at 1 per vehicle)(2)(7dii) (per working day), therefore no increase in traffic.
- Multiplied by two for traffic in both directions
- Multiplied by 52 * 5 work days to get yearly traffic</t>
  </si>
  <si>
    <t>0*2*52*5</t>
  </si>
  <si>
    <t>Notes - Number</t>
  </si>
  <si>
    <t>300*2*52*5</t>
  </si>
  <si>
    <t>2*(3,386,730/28)</t>
  </si>
  <si>
    <t>2*(1500/3)*0</t>
  </si>
  <si>
    <t>2*(1500/6)*0</t>
  </si>
  <si>
    <t>12849*037*0.556</t>
  </si>
  <si>
    <t>12849*0.63*0.677</t>
  </si>
  <si>
    <t>(0*0.6/8)*2</t>
  </si>
  <si>
    <t>300</t>
  </si>
  <si>
    <t>2018 Vol:3,386,730; 2025 vol: 2,700,151 tonnes of cargo From 4Ai1 projected using Northport Wood Availability Forecast 2018 Figure 16.
- Multiplied by 2 for trips in and out</t>
  </si>
  <si>
    <t>2700151</t>
  </si>
  <si>
    <t>20</t>
  </si>
  <si>
    <t>9200</t>
  </si>
  <si>
    <t>47040</t>
  </si>
  <si>
    <t>400</t>
  </si>
  <si>
    <t>(300-300)*2*52*5</t>
  </si>
  <si>
    <t>2*((2,700,151-3,386,730)/28)</t>
  </si>
  <si>
    <t>2*(1500/3)*(20-0)</t>
  </si>
  <si>
    <t>2*(1500/6)*(20-0)</t>
  </si>
  <si>
    <t>2*(9200-9200)</t>
  </si>
  <si>
    <t>(47,040-12849)*037*0.556</t>
  </si>
  <si>
    <t>(47,040-12849)*0.63*0.677</t>
  </si>
  <si>
    <t>360</t>
  </si>
  <si>
    <t>160000</t>
  </si>
  <si>
    <t>1748798</t>
  </si>
  <si>
    <t>30</t>
  </si>
  <si>
    <t>8%</t>
  </si>
  <si>
    <t>100000</t>
  </si>
  <si>
    <t>5000</t>
  </si>
  <si>
    <t>2257561</t>
  </si>
  <si>
    <t>400000</t>
  </si>
  <si>
    <t>(360-300)*2*52*5</t>
  </si>
  <si>
    <t>((160,000-0)*0.6/8)*2</t>
  </si>
  <si>
    <t>(5000-0)*2</t>
  </si>
  <si>
    <t>2*((1,748,798-2,700,151)/28)</t>
  </si>
  <si>
    <t>2*(1500/3)*(30-20)</t>
  </si>
  <si>
    <t>2*(1500/6)*(30-20)</t>
  </si>
  <si>
    <t>(100,000-47,040)*0.37*0.556</t>
  </si>
  <si>
    <t>(100,000-47040)*0.63*0.677</t>
  </si>
  <si>
    <t>(400-360)*2*52*5</t>
  </si>
  <si>
    <t>((160,000-160,000)*0.6/8)*2</t>
  </si>
  <si>
    <t>(5000-5000)*2</t>
  </si>
  <si>
    <t>2*((2,257,561-1,748,798)/28)</t>
  </si>
  <si>
    <t>2*(1500/3)*(30-30)</t>
  </si>
  <si>
    <t>2*(1500/6)*(30-30)</t>
  </si>
  <si>
    <t>(400,000-100,000)*0.37*0.556</t>
  </si>
  <si>
    <t>(400,000-100,000)*0.63*0.677</t>
  </si>
  <si>
    <t>AM/PM Traffic Volume</t>
  </si>
  <si>
    <t>Peak Flow</t>
  </si>
  <si>
    <t>Average Hourly flow</t>
  </si>
  <si>
    <t>Year</t>
  </si>
  <si>
    <t>Peak AM/PM Flow Increase</t>
  </si>
  <si>
    <t>Assumptions:</t>
  </si>
  <si>
    <t>Average hourly flow associated with port based on 12 hrs of daylight traffic</t>
  </si>
  <si>
    <t>Daylight hrs assumed to be 12 hrs.</t>
  </si>
  <si>
    <t>2018</t>
  </si>
  <si>
    <t>Peak Flow (Difference)</t>
  </si>
  <si>
    <t>Total Daily Volumes used to determine Peak Flows</t>
  </si>
  <si>
    <t>Peak Flows and Differences</t>
  </si>
  <si>
    <t>Yr 15 (2033)</t>
  </si>
  <si>
    <t>AADT Total</t>
  </si>
  <si>
    <t>AADT Increase 
from base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</si>
</sst>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 wrapText="1"/>
    </xf>
    <xf numFmtId="49" fontId="0" fillId="3" borderId="3" xfId="0" quotePrefix="1" applyNumberFormat="1" applyFill="1" applyBorder="1" applyAlignment="1">
      <alignment horizontal="center" vertical="center"/>
    </xf>
    <xf numFmtId="49" fontId="0" fillId="3" borderId="6" xfId="0" quotePrefix="1" applyNumberFormat="1" applyFill="1" applyBorder="1" applyAlignment="1">
      <alignment horizontal="center" vertical="center"/>
    </xf>
    <xf numFmtId="0" fontId="0" fillId="3" borderId="5" xfId="0" applyNumberFormat="1" applyFill="1" applyBorder="1" applyAlignment="1">
      <alignment horizontal="center" vertical="center" wrapText="1"/>
    </xf>
    <xf numFmtId="0" fontId="0" fillId="2" borderId="6" xfId="0" quotePrefix="1" applyFill="1" applyBorder="1" applyAlignment="1">
      <alignment horizontal="center" vertical="center"/>
    </xf>
    <xf numFmtId="49" fontId="0" fillId="3" borderId="9" xfId="0" applyNumberFormat="1" applyFill="1" applyBorder="1" applyAlignment="1">
      <alignment horizontal="center" vertical="center"/>
    </xf>
    <xf numFmtId="0" fontId="0" fillId="3" borderId="7" xfId="0" applyNumberFormat="1" applyFill="1" applyBorder="1" applyAlignment="1">
      <alignment horizontal="center" vertical="center" wrapText="1"/>
    </xf>
    <xf numFmtId="0" fontId="0" fillId="2" borderId="9" xfId="0" quotePrefix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49" fontId="0" fillId="3" borderId="6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49" fontId="0" fillId="3" borderId="12" xfId="0" quotePrefix="1" applyNumberFormat="1" applyFill="1" applyBorder="1" applyAlignment="1">
      <alignment horizontal="center" vertical="center"/>
    </xf>
    <xf numFmtId="0" fontId="0" fillId="3" borderId="11" xfId="0" applyNumberFormat="1" applyFill="1" applyBorder="1" applyAlignment="1">
      <alignment horizontal="center" vertical="center" wrapText="1"/>
    </xf>
    <xf numFmtId="0" fontId="0" fillId="2" borderId="12" xfId="0" quotePrefix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49" fontId="0" fillId="3" borderId="9" xfId="0" quotePrefix="1" applyNumberFormat="1" applyFill="1" applyBorder="1" applyAlignment="1">
      <alignment horizontal="center" vertical="center"/>
    </xf>
    <xf numFmtId="0" fontId="0" fillId="2" borderId="3" xfId="0" quotePrefix="1" applyFill="1" applyBorder="1" applyAlignment="1">
      <alignment horizontal="center" vertical="center"/>
    </xf>
    <xf numFmtId="49" fontId="0" fillId="3" borderId="12" xfId="0" applyNumberForma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49" fontId="0" fillId="3" borderId="9" xfId="0" applyNumberForma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49" fontId="0" fillId="3" borderId="6" xfId="0" quotePrefix="1" applyNumberFormat="1" applyFill="1" applyBorder="1" applyAlignment="1">
      <alignment horizontal="center" vertical="center" wrapText="1"/>
    </xf>
    <xf numFmtId="0" fontId="0" fillId="2" borderId="6" xfId="0" quotePrefix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49" fontId="0" fillId="2" borderId="0" xfId="0" applyNumberFormat="1" applyFill="1" applyBorder="1" applyAlignment="1">
      <alignment horizontal="center" vertical="center" wrapText="1"/>
    </xf>
    <xf numFmtId="49" fontId="0" fillId="2" borderId="0" xfId="0" applyNumberForma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 wrapText="1"/>
    </xf>
    <xf numFmtId="49" fontId="0" fillId="3" borderId="14" xfId="0" applyNumberFormat="1" applyFill="1" applyBorder="1" applyAlignment="1">
      <alignment horizontal="center" vertical="center" wrapText="1"/>
    </xf>
    <xf numFmtId="49" fontId="0" fillId="3" borderId="16" xfId="0" applyNumberFormat="1" applyFill="1" applyBorder="1" applyAlignment="1">
      <alignment horizontal="center" vertical="center"/>
    </xf>
    <xf numFmtId="0" fontId="0" fillId="3" borderId="15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/>
    </xf>
    <xf numFmtId="0" fontId="0" fillId="2" borderId="15" xfId="0" applyNumberForma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49" fontId="0" fillId="2" borderId="6" xfId="0" quotePrefix="1" applyNumberForma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49" fontId="0" fillId="3" borderId="22" xfId="0" applyNumberFormat="1" applyFill="1" applyBorder="1" applyAlignment="1">
      <alignment horizontal="center" vertical="center" wrapText="1"/>
    </xf>
    <xf numFmtId="49" fontId="0" fillId="3" borderId="23" xfId="0" applyNumberFormat="1" applyFill="1" applyBorder="1" applyAlignment="1">
      <alignment horizontal="center" vertical="center" wrapText="1"/>
    </xf>
    <xf numFmtId="49" fontId="0" fillId="3" borderId="24" xfId="0" applyNumberFormat="1" applyFill="1" applyBorder="1" applyAlignment="1">
      <alignment horizontal="center" vertical="center" wrapText="1"/>
    </xf>
    <xf numFmtId="49" fontId="0" fillId="3" borderId="25" xfId="0" quotePrefix="1" applyNumberFormat="1" applyFill="1" applyBorder="1" applyAlignment="1">
      <alignment horizontal="center" vertical="center" wrapText="1"/>
    </xf>
    <xf numFmtId="49" fontId="0" fillId="3" borderId="26" xfId="0" applyNumberFormat="1" applyFill="1" applyBorder="1" applyAlignment="1">
      <alignment horizontal="center" vertical="center" wrapText="1"/>
    </xf>
    <xf numFmtId="49" fontId="0" fillId="3" borderId="25" xfId="0" applyNumberFormat="1" applyFill="1" applyBorder="1" applyAlignment="1">
      <alignment horizontal="center" vertical="center" wrapText="1"/>
    </xf>
    <xf numFmtId="49" fontId="0" fillId="3" borderId="7" xfId="0" applyNumberForma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49" fontId="0" fillId="3" borderId="5" xfId="0" applyNumberFormat="1" applyFill="1" applyBorder="1" applyAlignment="1">
      <alignment horizontal="center" vertical="center" wrapText="1"/>
    </xf>
    <xf numFmtId="49" fontId="0" fillId="4" borderId="3" xfId="0" applyNumberFormat="1" applyFill="1" applyBorder="1" applyAlignment="1">
      <alignment horizontal="center" vertical="center"/>
    </xf>
    <xf numFmtId="0" fontId="0" fillId="4" borderId="3" xfId="0" applyNumberForma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5" borderId="3" xfId="0" applyFill="1" applyBorder="1" applyAlignment="1">
      <alignment wrapText="1"/>
    </xf>
    <xf numFmtId="0" fontId="0" fillId="0" borderId="0" xfId="0" applyAlignment="1">
      <alignment wrapText="1"/>
    </xf>
    <xf numFmtId="0" fontId="0" fillId="4" borderId="3" xfId="0" applyFill="1" applyBorder="1" applyAlignment="1">
      <alignment horizontal="center" vertical="center" wrapText="1"/>
    </xf>
    <xf numFmtId="0" fontId="2" fillId="5" borderId="3" xfId="0" applyFont="1" applyFill="1" applyBorder="1" applyAlignment="1">
      <alignment wrapText="1"/>
    </xf>
    <xf numFmtId="0" fontId="2" fillId="6" borderId="3" xfId="0" applyFont="1" applyFill="1" applyBorder="1" applyAlignment="1">
      <alignment wrapText="1"/>
    </xf>
    <xf numFmtId="49" fontId="2" fillId="6" borderId="3" xfId="0" applyNumberFormat="1" applyFont="1" applyFill="1" applyBorder="1" applyAlignment="1">
      <alignment horizontal="center" vertical="center"/>
    </xf>
    <xf numFmtId="0" fontId="2" fillId="6" borderId="3" xfId="0" applyNumberFormat="1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8" xfId="0" applyNumberFormat="1" applyFont="1" applyFill="1" applyBorder="1" applyAlignment="1">
      <alignment horizontal="center" vertical="center" wrapText="1"/>
    </xf>
    <xf numFmtId="49" fontId="3" fillId="3" borderId="10" xfId="0" quotePrefix="1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49" fontId="3" fillId="3" borderId="10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4" xfId="0" quotePrefix="1" applyFont="1" applyFill="1" applyBorder="1" applyAlignment="1">
      <alignment horizontal="center" vertical="center" wrapText="1"/>
    </xf>
    <xf numFmtId="3" fontId="3" fillId="2" borderId="10" xfId="0" quotePrefix="1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8" xfId="0" quotePrefix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49" fontId="3" fillId="3" borderId="4" xfId="0" quotePrefix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49" fontId="2" fillId="7" borderId="3" xfId="0" applyNumberFormat="1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2</xdr:row>
      <xdr:rowOff>209550</xdr:rowOff>
    </xdr:from>
    <xdr:to>
      <xdr:col>22</xdr:col>
      <xdr:colOff>247650</xdr:colOff>
      <xdr:row>26</xdr:row>
      <xdr:rowOff>0</xdr:rowOff>
    </xdr:to>
    <xdr:pic>
      <xdr:nvPicPr>
        <xdr:cNvPr id="1033" name="Picture 6">
          <a:extLst>
            <a:ext uri="{FF2B5EF4-FFF2-40B4-BE49-F238E27FC236}">
              <a16:creationId xmlns:a16="http://schemas.microsoft.com/office/drawing/2014/main" id="{73577EC6-4146-49CB-95B4-DE6D08D1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1500"/>
          <a:ext cx="12439650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6"/>
  <sheetViews>
    <sheetView tabSelected="1" view="pageBreakPreview" zoomScale="40" zoomScaleNormal="46" zoomScaleSheetLayoutView="40" workbookViewId="0">
      <selection activeCell="M45" sqref="M45"/>
    </sheetView>
  </sheetViews>
  <sheetFormatPr defaultColWidth="9.08984375" defaultRowHeight="14.5" x14ac:dyDescent="0.35"/>
  <cols>
    <col min="1" max="1" width="16.08984375" style="6" bestFit="1" customWidth="1"/>
    <col min="2" max="2" width="24.6328125" style="2" bestFit="1" customWidth="1"/>
    <col min="3" max="3" width="27.36328125" style="2" bestFit="1" customWidth="1"/>
    <col min="4" max="4" width="17.6328125" style="2" bestFit="1" customWidth="1"/>
    <col min="5" max="5" width="19.36328125" style="2" bestFit="1" customWidth="1"/>
    <col min="6" max="6" width="32.90625" style="3" bestFit="1" customWidth="1"/>
    <col min="7" max="7" width="27.36328125" style="3" bestFit="1" customWidth="1"/>
    <col min="8" max="8" width="22.54296875" style="4" customWidth="1"/>
    <col min="9" max="9" width="21.6328125" style="5" bestFit="1" customWidth="1"/>
    <col min="10" max="10" width="33" style="2" bestFit="1" customWidth="1"/>
    <col min="11" max="11" width="27.36328125" style="2" bestFit="1" customWidth="1"/>
    <col min="12" max="12" width="26.36328125" style="6" bestFit="1" customWidth="1"/>
    <col min="13" max="13" width="21.6328125" style="5" bestFit="1" customWidth="1"/>
    <col min="14" max="14" width="32.453125" style="3" bestFit="1" customWidth="1"/>
    <col min="15" max="15" width="27.36328125" style="3" bestFit="1" customWidth="1"/>
    <col min="16" max="16" width="27" style="6" bestFit="1" customWidth="1"/>
    <col min="17" max="17" width="21.6328125" style="6" bestFit="1" customWidth="1"/>
    <col min="18" max="18" width="21.54296875" style="6" bestFit="1" customWidth="1"/>
    <col min="19" max="16384" width="9.08984375" style="6"/>
  </cols>
  <sheetData>
    <row r="1" spans="1:17" s="1" customFormat="1" x14ac:dyDescent="0.35">
      <c r="A1" s="102" t="s">
        <v>2</v>
      </c>
      <c r="B1" s="105"/>
      <c r="C1" s="115">
        <v>2018</v>
      </c>
      <c r="D1" s="116"/>
      <c r="E1" s="117"/>
      <c r="F1" s="106" t="s">
        <v>5</v>
      </c>
      <c r="G1" s="107"/>
      <c r="H1" s="108"/>
      <c r="I1" s="109"/>
      <c r="J1" s="102" t="s">
        <v>6</v>
      </c>
      <c r="K1" s="103"/>
      <c r="L1" s="104"/>
      <c r="M1" s="105"/>
      <c r="N1" s="106" t="s">
        <v>7</v>
      </c>
      <c r="O1" s="107"/>
      <c r="P1" s="108"/>
      <c r="Q1" s="109"/>
    </row>
    <row r="2" spans="1:17" s="1" customFormat="1" x14ac:dyDescent="0.35">
      <c r="A2" s="36" t="s">
        <v>0</v>
      </c>
      <c r="B2" s="37" t="s">
        <v>1</v>
      </c>
      <c r="C2" s="48" t="s">
        <v>65</v>
      </c>
      <c r="D2" s="48" t="s">
        <v>9</v>
      </c>
      <c r="E2" s="48" t="s">
        <v>4</v>
      </c>
      <c r="F2" s="38" t="s">
        <v>3</v>
      </c>
      <c r="G2" s="53" t="s">
        <v>65</v>
      </c>
      <c r="H2" s="39" t="s">
        <v>9</v>
      </c>
      <c r="I2" s="40" t="s">
        <v>4</v>
      </c>
      <c r="J2" s="41" t="s">
        <v>3</v>
      </c>
      <c r="K2" s="53" t="s">
        <v>65</v>
      </c>
      <c r="L2" s="42" t="s">
        <v>10</v>
      </c>
      <c r="M2" s="43">
        <v>10</v>
      </c>
      <c r="N2" s="38" t="s">
        <v>3</v>
      </c>
      <c r="O2" s="53" t="s">
        <v>65</v>
      </c>
      <c r="P2" s="44" t="s">
        <v>10</v>
      </c>
      <c r="Q2" s="45" t="s">
        <v>4</v>
      </c>
    </row>
    <row r="3" spans="1:17" s="47" customFormat="1" ht="42.5" thickBot="1" x14ac:dyDescent="0.4">
      <c r="A3" s="73" t="s">
        <v>60</v>
      </c>
      <c r="B3" s="74" t="s">
        <v>8</v>
      </c>
      <c r="C3" s="49">
        <v>300</v>
      </c>
      <c r="D3" s="9" t="s">
        <v>66</v>
      </c>
      <c r="E3" s="10">
        <f>C3*2*52*5</f>
        <v>156000</v>
      </c>
      <c r="F3" s="81" t="s">
        <v>63</v>
      </c>
      <c r="G3" s="54" t="s">
        <v>73</v>
      </c>
      <c r="H3" s="9" t="s">
        <v>80</v>
      </c>
      <c r="I3" s="10">
        <f>(G3-C3)*2*52*5</f>
        <v>0</v>
      </c>
      <c r="J3" s="86" t="s">
        <v>53</v>
      </c>
      <c r="K3" s="54" t="s">
        <v>87</v>
      </c>
      <c r="L3" s="46" t="s">
        <v>96</v>
      </c>
      <c r="M3" s="10">
        <f>(K3-G3)*2*52*5</f>
        <v>31200</v>
      </c>
      <c r="N3" s="81" t="s">
        <v>54</v>
      </c>
      <c r="O3" s="54" t="s">
        <v>79</v>
      </c>
      <c r="P3" s="46" t="s">
        <v>104</v>
      </c>
      <c r="Q3" s="10">
        <f>(O3-K3)*2*52*5</f>
        <v>20800</v>
      </c>
    </row>
    <row r="4" spans="1:17" s="1" customFormat="1" ht="21.5" thickBot="1" x14ac:dyDescent="0.4">
      <c r="A4" s="111" t="s">
        <v>11</v>
      </c>
      <c r="B4" s="75" t="s">
        <v>12</v>
      </c>
      <c r="C4" s="50">
        <v>0</v>
      </c>
      <c r="D4" s="22" t="s">
        <v>72</v>
      </c>
      <c r="E4" s="13">
        <v>0</v>
      </c>
      <c r="F4" s="82" t="s">
        <v>13</v>
      </c>
      <c r="G4" s="55" t="s">
        <v>27</v>
      </c>
      <c r="H4" s="12" t="s">
        <v>27</v>
      </c>
      <c r="I4" s="13">
        <v>0</v>
      </c>
      <c r="J4" s="87" t="s">
        <v>40</v>
      </c>
      <c r="K4" s="55" t="s">
        <v>88</v>
      </c>
      <c r="L4" s="14" t="s">
        <v>97</v>
      </c>
      <c r="M4" s="10">
        <f>((K4-G4)*0.6/8)*2</f>
        <v>24000</v>
      </c>
      <c r="N4" s="82" t="s">
        <v>16</v>
      </c>
      <c r="O4" s="55" t="s">
        <v>88</v>
      </c>
      <c r="P4" s="14" t="s">
        <v>105</v>
      </c>
      <c r="Q4" s="10">
        <f>((O4-K4)*0.6/8)*2</f>
        <v>0</v>
      </c>
    </row>
    <row r="5" spans="1:17" s="1" customFormat="1" ht="21.5" thickBot="1" x14ac:dyDescent="0.4">
      <c r="A5" s="112"/>
      <c r="B5" s="74" t="s">
        <v>14</v>
      </c>
      <c r="C5" s="49">
        <v>0</v>
      </c>
      <c r="D5" s="16" t="s">
        <v>27</v>
      </c>
      <c r="E5" s="10">
        <v>0</v>
      </c>
      <c r="F5" s="81" t="s">
        <v>15</v>
      </c>
      <c r="G5" s="54" t="s">
        <v>27</v>
      </c>
      <c r="H5" s="16" t="s">
        <v>27</v>
      </c>
      <c r="I5" s="10">
        <v>0</v>
      </c>
      <c r="J5" s="88" t="s">
        <v>42</v>
      </c>
      <c r="K5" s="54" t="s">
        <v>93</v>
      </c>
      <c r="L5" s="17" t="s">
        <v>98</v>
      </c>
      <c r="M5" s="10">
        <f>(K5-G5)*2</f>
        <v>10000</v>
      </c>
      <c r="N5" s="81" t="s">
        <v>41</v>
      </c>
      <c r="O5" s="54" t="s">
        <v>93</v>
      </c>
      <c r="P5" s="17" t="s">
        <v>106</v>
      </c>
      <c r="Q5" s="10">
        <f>(O5-K5)*2</f>
        <v>0</v>
      </c>
    </row>
    <row r="6" spans="1:17" s="1" customFormat="1" ht="42.5" thickBot="1" x14ac:dyDescent="0.4">
      <c r="A6" s="76" t="s">
        <v>45</v>
      </c>
      <c r="B6" s="77" t="s">
        <v>28</v>
      </c>
      <c r="C6" s="51">
        <v>3386730</v>
      </c>
      <c r="D6" s="18" t="s">
        <v>67</v>
      </c>
      <c r="E6" s="19">
        <f>2*(ROUNDUP((C6)/28,0))</f>
        <v>241910</v>
      </c>
      <c r="F6" s="83" t="s">
        <v>74</v>
      </c>
      <c r="G6" s="56" t="s">
        <v>75</v>
      </c>
      <c r="H6" s="18" t="s">
        <v>81</v>
      </c>
      <c r="I6" s="19">
        <f>2*(ROUNDUP((G6-C6)/28,0))</f>
        <v>-49042</v>
      </c>
      <c r="J6" s="89" t="s">
        <v>61</v>
      </c>
      <c r="K6" s="56" t="s">
        <v>89</v>
      </c>
      <c r="L6" s="20" t="s">
        <v>99</v>
      </c>
      <c r="M6" s="19">
        <f>2*(ROUNDUP((K6-G6)/28,0))</f>
        <v>-67954</v>
      </c>
      <c r="N6" s="83" t="s">
        <v>62</v>
      </c>
      <c r="O6" s="56" t="s">
        <v>94</v>
      </c>
      <c r="P6" s="20" t="s">
        <v>107</v>
      </c>
      <c r="Q6" s="19">
        <f>2*(ROUNDUP((O6-K6)/28,0))</f>
        <v>36342</v>
      </c>
    </row>
    <row r="7" spans="1:17" s="1" customFormat="1" ht="21" x14ac:dyDescent="0.35">
      <c r="A7" s="113" t="s">
        <v>17</v>
      </c>
      <c r="B7" s="75" t="s">
        <v>18</v>
      </c>
      <c r="C7" s="50">
        <v>0</v>
      </c>
      <c r="D7" s="22" t="s">
        <v>68</v>
      </c>
      <c r="E7" s="13">
        <f>2*(C7/3*20)</f>
        <v>0</v>
      </c>
      <c r="F7" s="82" t="s">
        <v>43</v>
      </c>
      <c r="G7" s="55" t="s">
        <v>76</v>
      </c>
      <c r="H7" s="22" t="s">
        <v>82</v>
      </c>
      <c r="I7" s="59">
        <f>2*(1500/3*(G7-C7))</f>
        <v>20000</v>
      </c>
      <c r="J7" s="87" t="s">
        <v>44</v>
      </c>
      <c r="K7" s="55" t="s">
        <v>90</v>
      </c>
      <c r="L7" s="14" t="s">
        <v>100</v>
      </c>
      <c r="M7" s="59">
        <f>2*(1500/3*(K7-G7))</f>
        <v>10000</v>
      </c>
      <c r="N7" s="82" t="s">
        <v>44</v>
      </c>
      <c r="O7" s="55" t="s">
        <v>90</v>
      </c>
      <c r="P7" s="14" t="s">
        <v>108</v>
      </c>
      <c r="Q7" s="59">
        <f>2*(1500/3*(O7-K7))</f>
        <v>0</v>
      </c>
    </row>
    <row r="8" spans="1:17" s="1" customFormat="1" ht="21" x14ac:dyDescent="0.35">
      <c r="A8" s="113"/>
      <c r="B8" s="78" t="s">
        <v>19</v>
      </c>
      <c r="C8" s="52">
        <v>0</v>
      </c>
      <c r="D8" s="8" t="s">
        <v>69</v>
      </c>
      <c r="E8" s="7">
        <f>2*(C8/6*20)</f>
        <v>0</v>
      </c>
      <c r="F8" s="84" t="s">
        <v>43</v>
      </c>
      <c r="G8" s="57" t="s">
        <v>76</v>
      </c>
      <c r="H8" s="8" t="s">
        <v>83</v>
      </c>
      <c r="I8" s="60">
        <f>2*(1500/6*(G8-C8))</f>
        <v>10000</v>
      </c>
      <c r="J8" s="90" t="s">
        <v>44</v>
      </c>
      <c r="K8" s="57" t="s">
        <v>90</v>
      </c>
      <c r="L8" s="23" t="s">
        <v>101</v>
      </c>
      <c r="M8" s="60">
        <f>2*(1500/6*(K8-G8))</f>
        <v>5000</v>
      </c>
      <c r="N8" s="84" t="s">
        <v>44</v>
      </c>
      <c r="O8" s="57" t="s">
        <v>90</v>
      </c>
      <c r="P8" s="23" t="s">
        <v>109</v>
      </c>
      <c r="Q8" s="60">
        <f>2*(1500/6*(O8-K8))</f>
        <v>0</v>
      </c>
    </row>
    <row r="9" spans="1:17" s="1" customFormat="1" ht="21.5" thickBot="1" x14ac:dyDescent="0.4">
      <c r="A9" s="114"/>
      <c r="B9" s="74" t="s">
        <v>20</v>
      </c>
      <c r="C9" s="49">
        <v>0</v>
      </c>
      <c r="D9" s="9" t="s">
        <v>69</v>
      </c>
      <c r="E9" s="10">
        <f>2*(C9/6*20)</f>
        <v>0</v>
      </c>
      <c r="F9" s="81" t="s">
        <v>43</v>
      </c>
      <c r="G9" s="54" t="s">
        <v>76</v>
      </c>
      <c r="H9" s="8" t="s">
        <v>83</v>
      </c>
      <c r="I9" s="61">
        <f>2*(1500/6*(G9-C9))</f>
        <v>10000</v>
      </c>
      <c r="J9" s="91" t="s">
        <v>44</v>
      </c>
      <c r="K9" s="54" t="s">
        <v>90</v>
      </c>
      <c r="L9" s="11" t="s">
        <v>101</v>
      </c>
      <c r="M9" s="61">
        <f>2*(1500/6*(K9-G9))</f>
        <v>5000</v>
      </c>
      <c r="N9" s="81" t="s">
        <v>44</v>
      </c>
      <c r="O9" s="54" t="s">
        <v>90</v>
      </c>
      <c r="P9" s="11" t="s">
        <v>109</v>
      </c>
      <c r="Q9" s="61">
        <f>2*(1500/6*(O9-K9))</f>
        <v>0</v>
      </c>
    </row>
    <row r="10" spans="1:17" s="1" customFormat="1" ht="15" thickBot="1" x14ac:dyDescent="0.4">
      <c r="A10" s="79" t="s">
        <v>21</v>
      </c>
      <c r="B10" s="77" t="s">
        <v>26</v>
      </c>
      <c r="C10" s="51">
        <v>0</v>
      </c>
      <c r="D10" s="24" t="s">
        <v>27</v>
      </c>
      <c r="E10" s="19">
        <v>0</v>
      </c>
      <c r="F10" s="85" t="s">
        <v>22</v>
      </c>
      <c r="G10" s="58" t="s">
        <v>27</v>
      </c>
      <c r="H10" s="24" t="s">
        <v>27</v>
      </c>
      <c r="I10" s="19">
        <v>0</v>
      </c>
      <c r="J10" s="76" t="s">
        <v>23</v>
      </c>
      <c r="K10" s="58" t="s">
        <v>91</v>
      </c>
      <c r="L10" s="25" t="s">
        <v>29</v>
      </c>
      <c r="M10" s="21">
        <f>-(ROUNDUP((M12+M13)*0.08,0))</f>
        <v>-2679</v>
      </c>
      <c r="N10" s="85" t="s">
        <v>23</v>
      </c>
      <c r="O10" s="58" t="s">
        <v>91</v>
      </c>
      <c r="P10" s="25" t="s">
        <v>29</v>
      </c>
      <c r="Q10" s="21">
        <f>-(ROUNDUP((Q12+Q13)*0.08,0))</f>
        <v>-15174</v>
      </c>
    </row>
    <row r="11" spans="1:17" s="1" customFormat="1" ht="32" thickBot="1" x14ac:dyDescent="0.4">
      <c r="A11" s="79" t="s">
        <v>55</v>
      </c>
      <c r="B11" s="77" t="s">
        <v>25</v>
      </c>
      <c r="C11" s="51">
        <v>9200</v>
      </c>
      <c r="D11" s="24" t="s">
        <v>50</v>
      </c>
      <c r="E11" s="19">
        <f>C11*2</f>
        <v>18400</v>
      </c>
      <c r="F11" s="85" t="s">
        <v>51</v>
      </c>
      <c r="G11" s="58" t="s">
        <v>77</v>
      </c>
      <c r="H11" s="24" t="s">
        <v>84</v>
      </c>
      <c r="I11" s="19">
        <f>(G11-C11)*2</f>
        <v>0</v>
      </c>
      <c r="J11" s="76" t="s">
        <v>51</v>
      </c>
      <c r="K11" s="58" t="s">
        <v>77</v>
      </c>
      <c r="L11" s="25" t="s">
        <v>84</v>
      </c>
      <c r="M11" s="19">
        <f>(K11-G11)*2</f>
        <v>0</v>
      </c>
      <c r="N11" s="85" t="s">
        <v>51</v>
      </c>
      <c r="O11" s="58" t="s">
        <v>77</v>
      </c>
      <c r="P11" s="25" t="s">
        <v>84</v>
      </c>
      <c r="Q11" s="19">
        <f>(O11-K11)*2</f>
        <v>0</v>
      </c>
    </row>
    <row r="12" spans="1:17" s="1" customFormat="1" ht="29" x14ac:dyDescent="0.35">
      <c r="A12" s="111" t="s">
        <v>24</v>
      </c>
      <c r="B12" s="75" t="s">
        <v>30</v>
      </c>
      <c r="C12" s="50">
        <v>12849</v>
      </c>
      <c r="D12" s="26" t="s">
        <v>70</v>
      </c>
      <c r="E12" s="13">
        <f>ROUNDUP(C12*0.37*0.556,0)</f>
        <v>2644</v>
      </c>
      <c r="F12" s="82" t="s">
        <v>56</v>
      </c>
      <c r="G12" s="55" t="s">
        <v>78</v>
      </c>
      <c r="H12" s="26" t="s">
        <v>85</v>
      </c>
      <c r="I12" s="13">
        <f>ROUNDUP((G12-C12)*0.37*0.556,0)</f>
        <v>7034</v>
      </c>
      <c r="J12" s="92" t="s">
        <v>58</v>
      </c>
      <c r="K12" s="55" t="s">
        <v>92</v>
      </c>
      <c r="L12" s="27" t="s">
        <v>102</v>
      </c>
      <c r="M12" s="13">
        <f>ROUNDUP((K12-G12)*0.37*0.556,0)</f>
        <v>10895</v>
      </c>
      <c r="N12" s="82" t="s">
        <v>32</v>
      </c>
      <c r="O12" s="55" t="s">
        <v>95</v>
      </c>
      <c r="P12" s="27" t="s">
        <v>110</v>
      </c>
      <c r="Q12" s="13">
        <f>ROUNDUP((O12-K12)*0.37*0.556,0)</f>
        <v>61716</v>
      </c>
    </row>
    <row r="13" spans="1:17" s="1" customFormat="1" ht="29.5" thickBot="1" x14ac:dyDescent="0.4">
      <c r="A13" s="112"/>
      <c r="B13" s="74" t="s">
        <v>31</v>
      </c>
      <c r="C13" s="49">
        <v>12849</v>
      </c>
      <c r="D13" s="28" t="s">
        <v>71</v>
      </c>
      <c r="E13" s="10">
        <f>ROUNDUP(C13*0.63*0.677,0)</f>
        <v>5481</v>
      </c>
      <c r="F13" s="81" t="s">
        <v>57</v>
      </c>
      <c r="G13" s="54" t="s">
        <v>78</v>
      </c>
      <c r="H13" s="28" t="s">
        <v>86</v>
      </c>
      <c r="I13" s="10">
        <f>ROUNDUP((G13-C13)*0.63*0.677,0)</f>
        <v>14583</v>
      </c>
      <c r="J13" s="88" t="s">
        <v>59</v>
      </c>
      <c r="K13" s="54" t="s">
        <v>92</v>
      </c>
      <c r="L13" s="29" t="s">
        <v>103</v>
      </c>
      <c r="M13" s="10">
        <f>ROUNDUP((K13-G13)*0.63*0.677,0)</f>
        <v>22588</v>
      </c>
      <c r="N13" s="94" t="s">
        <v>33</v>
      </c>
      <c r="O13" s="54" t="s">
        <v>95</v>
      </c>
      <c r="P13" s="29" t="s">
        <v>111</v>
      </c>
      <c r="Q13" s="10">
        <f>ROUNDUP((O13-K13)*0.63*0.677,0)</f>
        <v>127953</v>
      </c>
    </row>
    <row r="14" spans="1:17" s="1" customFormat="1" ht="51.65" customHeight="1" x14ac:dyDescent="0.35">
      <c r="A14" s="80" t="s">
        <v>52</v>
      </c>
      <c r="B14" s="75" t="s">
        <v>8</v>
      </c>
      <c r="C14" s="50">
        <v>0</v>
      </c>
      <c r="D14" s="30" t="s">
        <v>64</v>
      </c>
      <c r="E14" s="15">
        <f>C14*2*52*5</f>
        <v>0</v>
      </c>
      <c r="F14" s="82" t="s">
        <v>48</v>
      </c>
      <c r="G14" s="55" t="s">
        <v>27</v>
      </c>
      <c r="H14" s="30" t="s">
        <v>64</v>
      </c>
      <c r="I14" s="15">
        <f>(G14-C14)*2*52*5</f>
        <v>0</v>
      </c>
      <c r="J14" s="93" t="s">
        <v>48</v>
      </c>
      <c r="K14" s="55" t="s">
        <v>27</v>
      </c>
      <c r="L14" s="31" t="s">
        <v>64</v>
      </c>
      <c r="M14" s="15">
        <f>(K14-G14)*2*52*5</f>
        <v>0</v>
      </c>
      <c r="N14" s="82" t="s">
        <v>49</v>
      </c>
      <c r="O14" s="55" t="s">
        <v>27</v>
      </c>
      <c r="P14" s="31" t="s">
        <v>64</v>
      </c>
      <c r="Q14" s="15">
        <f>(O14-K14)*2*52*5</f>
        <v>0</v>
      </c>
    </row>
    <row r="15" spans="1:17" x14ac:dyDescent="0.35">
      <c r="A15" s="32"/>
      <c r="B15" s="33"/>
      <c r="C15" s="33"/>
      <c r="D15" s="33"/>
      <c r="E15" s="6"/>
      <c r="F15" s="6"/>
      <c r="G15" s="34"/>
      <c r="H15" s="35"/>
      <c r="I15" s="6"/>
      <c r="J15" s="6"/>
      <c r="K15" s="33"/>
      <c r="L15" s="32"/>
      <c r="M15" s="6"/>
      <c r="N15" s="6"/>
      <c r="O15" s="34"/>
      <c r="P15" s="32"/>
    </row>
    <row r="16" spans="1:17" x14ac:dyDescent="0.35">
      <c r="A16" s="32"/>
      <c r="B16" s="33"/>
      <c r="C16" s="33"/>
      <c r="D16" s="33"/>
      <c r="G16" s="34"/>
      <c r="H16" s="35"/>
      <c r="I16" s="6"/>
      <c r="J16" s="6"/>
      <c r="K16" s="33"/>
      <c r="L16" s="32"/>
      <c r="M16" s="6"/>
      <c r="N16" s="6"/>
      <c r="O16" s="34"/>
      <c r="P16" s="32"/>
    </row>
    <row r="17" spans="1:18" x14ac:dyDescent="0.35">
      <c r="A17" s="32"/>
      <c r="B17" s="110" t="s">
        <v>46</v>
      </c>
      <c r="C17" s="62" t="s">
        <v>36</v>
      </c>
      <c r="D17" s="63">
        <f>E12+E13+E10</f>
        <v>8125</v>
      </c>
      <c r="F17" s="6"/>
      <c r="G17" s="62" t="s">
        <v>36</v>
      </c>
      <c r="H17" s="63">
        <f>I12+I13+I10</f>
        <v>21617</v>
      </c>
      <c r="I17" s="6"/>
      <c r="J17" s="6"/>
      <c r="K17" s="62" t="s">
        <v>36</v>
      </c>
      <c r="L17" s="63">
        <f>M12+M13+M10</f>
        <v>30804</v>
      </c>
      <c r="M17" s="6"/>
      <c r="N17" s="6"/>
      <c r="O17" s="62" t="s">
        <v>36</v>
      </c>
      <c r="P17" s="63">
        <f>Q12+Q13+Q10</f>
        <v>174495</v>
      </c>
    </row>
    <row r="18" spans="1:18" x14ac:dyDescent="0.35">
      <c r="A18" s="32"/>
      <c r="B18" s="110"/>
      <c r="C18" s="62" t="s">
        <v>37</v>
      </c>
      <c r="D18" s="63">
        <f>E4+E5</f>
        <v>0</v>
      </c>
      <c r="E18" s="6"/>
      <c r="F18" s="6"/>
      <c r="G18" s="62" t="s">
        <v>37</v>
      </c>
      <c r="H18" s="63">
        <f>I4+I5</f>
        <v>0</v>
      </c>
      <c r="I18" s="6"/>
      <c r="J18" s="6"/>
      <c r="K18" s="62" t="s">
        <v>37</v>
      </c>
      <c r="L18" s="63">
        <f>M4+M5</f>
        <v>34000</v>
      </c>
      <c r="M18" s="6"/>
      <c r="N18" s="6"/>
      <c r="O18" s="62" t="s">
        <v>37</v>
      </c>
      <c r="P18" s="63">
        <f>Q4+Q5</f>
        <v>0</v>
      </c>
    </row>
    <row r="19" spans="1:18" x14ac:dyDescent="0.35">
      <c r="A19" s="32"/>
      <c r="B19" s="110"/>
      <c r="C19" s="62" t="s">
        <v>38</v>
      </c>
      <c r="D19" s="63">
        <f>E6+E11</f>
        <v>260310</v>
      </c>
      <c r="E19" s="6"/>
      <c r="F19" s="6"/>
      <c r="G19" s="62" t="s">
        <v>38</v>
      </c>
      <c r="H19" s="63">
        <f>I6+I11</f>
        <v>-49042</v>
      </c>
      <c r="I19" s="6"/>
      <c r="J19" s="6"/>
      <c r="K19" s="62" t="s">
        <v>38</v>
      </c>
      <c r="L19" s="63">
        <f>M6+M11</f>
        <v>-67954</v>
      </c>
      <c r="M19" s="6"/>
      <c r="N19" s="6"/>
      <c r="O19" s="62" t="s">
        <v>38</v>
      </c>
      <c r="P19" s="63">
        <f>Q6+Q11</f>
        <v>36342</v>
      </c>
    </row>
    <row r="20" spans="1:18" x14ac:dyDescent="0.35">
      <c r="A20" s="32"/>
      <c r="B20" s="110"/>
      <c r="C20" s="62" t="s">
        <v>35</v>
      </c>
      <c r="D20" s="63">
        <f>E7</f>
        <v>0</v>
      </c>
      <c r="E20" s="6"/>
      <c r="F20" s="6"/>
      <c r="G20" s="62" t="s">
        <v>35</v>
      </c>
      <c r="H20" s="63">
        <f>I7</f>
        <v>20000</v>
      </c>
      <c r="I20" s="6"/>
      <c r="J20" s="6"/>
      <c r="K20" s="62" t="s">
        <v>35</v>
      </c>
      <c r="L20" s="63">
        <f>M7</f>
        <v>10000</v>
      </c>
      <c r="M20" s="6"/>
      <c r="N20" s="6"/>
      <c r="O20" s="62" t="s">
        <v>35</v>
      </c>
      <c r="P20" s="63">
        <f>Q7</f>
        <v>0</v>
      </c>
    </row>
    <row r="21" spans="1:18" x14ac:dyDescent="0.35">
      <c r="A21" s="32"/>
      <c r="B21" s="110"/>
      <c r="C21" s="62" t="s">
        <v>34</v>
      </c>
      <c r="D21" s="63">
        <f>E8</f>
        <v>0</v>
      </c>
      <c r="E21" s="6"/>
      <c r="F21" s="6"/>
      <c r="G21" s="62" t="s">
        <v>34</v>
      </c>
      <c r="H21" s="63">
        <f>I8</f>
        <v>10000</v>
      </c>
      <c r="I21" s="6"/>
      <c r="J21" s="6"/>
      <c r="K21" s="62" t="s">
        <v>34</v>
      </c>
      <c r="L21" s="63">
        <f>M8</f>
        <v>5000</v>
      </c>
      <c r="M21" s="6"/>
      <c r="N21" s="6"/>
      <c r="O21" s="62" t="s">
        <v>34</v>
      </c>
      <c r="P21" s="63">
        <f>Q8</f>
        <v>0</v>
      </c>
    </row>
    <row r="22" spans="1:18" x14ac:dyDescent="0.35">
      <c r="A22" s="32"/>
      <c r="B22" s="110"/>
      <c r="C22" s="62" t="s">
        <v>39</v>
      </c>
      <c r="D22" s="63">
        <f>E3+E9+E14</f>
        <v>156000</v>
      </c>
      <c r="E22" s="6"/>
      <c r="F22" s="6"/>
      <c r="G22" s="62" t="s">
        <v>39</v>
      </c>
      <c r="H22" s="63">
        <f>I3+I9+I14</f>
        <v>10000</v>
      </c>
      <c r="I22" s="6"/>
      <c r="J22" s="6"/>
      <c r="K22" s="62" t="s">
        <v>39</v>
      </c>
      <c r="L22" s="63">
        <f>M3+M9+M14</f>
        <v>36200</v>
      </c>
      <c r="M22" s="6"/>
      <c r="N22" s="6"/>
      <c r="O22" s="62" t="s">
        <v>39</v>
      </c>
      <c r="P22" s="63">
        <f>Q3+Q9+Q14</f>
        <v>20800</v>
      </c>
    </row>
    <row r="23" spans="1:18" x14ac:dyDescent="0.35">
      <c r="B23" s="6"/>
      <c r="C23" s="6"/>
      <c r="D23" s="6"/>
      <c r="E23" s="6" t="s">
        <v>114</v>
      </c>
      <c r="F23" s="6" t="s">
        <v>112</v>
      </c>
      <c r="G23" s="6"/>
      <c r="H23" s="6"/>
      <c r="I23" s="6" t="s">
        <v>114</v>
      </c>
      <c r="J23" s="6" t="s">
        <v>112</v>
      </c>
      <c r="K23" s="6"/>
      <c r="M23" s="6" t="s">
        <v>114</v>
      </c>
      <c r="N23" s="6" t="s">
        <v>112</v>
      </c>
      <c r="O23" s="6"/>
      <c r="Q23" s="6" t="s">
        <v>114</v>
      </c>
      <c r="R23" s="6" t="s">
        <v>112</v>
      </c>
    </row>
    <row r="24" spans="1:18" x14ac:dyDescent="0.35">
      <c r="B24" s="110" t="s">
        <v>47</v>
      </c>
      <c r="C24" s="62" t="s">
        <v>36</v>
      </c>
      <c r="D24" s="63">
        <f t="shared" ref="D24:D29" si="0">ROUNDUP(D17/365,0)</f>
        <v>23</v>
      </c>
      <c r="E24" s="6">
        <f t="shared" ref="E24:E29" si="1">ROUNDUP(D24/12,0)</f>
        <v>2</v>
      </c>
      <c r="F24" s="6">
        <f>E24</f>
        <v>2</v>
      </c>
      <c r="G24" s="62" t="s">
        <v>36</v>
      </c>
      <c r="H24" s="63">
        <f t="shared" ref="H24:H29" si="2">ROUNDUP(H17/365,0)</f>
        <v>60</v>
      </c>
      <c r="I24" s="6">
        <f t="shared" ref="I24:I29" si="3">ROUNDUP(H24/12,0)</f>
        <v>5</v>
      </c>
      <c r="J24" s="6">
        <f>I24</f>
        <v>5</v>
      </c>
      <c r="K24" s="62" t="s">
        <v>36</v>
      </c>
      <c r="L24" s="63">
        <f t="shared" ref="L24:L29" si="4">ROUNDUP(L17/365,0)</f>
        <v>85</v>
      </c>
      <c r="M24" s="6">
        <f t="shared" ref="M24:M29" si="5">ROUNDUP(L24/12,0)</f>
        <v>8</v>
      </c>
      <c r="N24" s="6">
        <f>M24</f>
        <v>8</v>
      </c>
      <c r="O24" s="62" t="s">
        <v>36</v>
      </c>
      <c r="P24" s="63">
        <f t="shared" ref="P24:P29" si="6">ROUNDUP(P17/365,0)</f>
        <v>479</v>
      </c>
      <c r="Q24" s="6">
        <f t="shared" ref="Q24:Q29" si="7">ROUNDUP(P24/12,0)</f>
        <v>40</v>
      </c>
      <c r="R24" s="6">
        <f>Q24</f>
        <v>40</v>
      </c>
    </row>
    <row r="25" spans="1:18" x14ac:dyDescent="0.35">
      <c r="B25" s="110"/>
      <c r="C25" s="62" t="s">
        <v>37</v>
      </c>
      <c r="D25" s="63">
        <f t="shared" si="0"/>
        <v>0</v>
      </c>
      <c r="E25" s="6">
        <f t="shared" si="1"/>
        <v>0</v>
      </c>
      <c r="F25" s="6">
        <f>E25</f>
        <v>0</v>
      </c>
      <c r="G25" s="62" t="s">
        <v>37</v>
      </c>
      <c r="H25" s="63">
        <f t="shared" si="2"/>
        <v>0</v>
      </c>
      <c r="I25" s="6">
        <f t="shared" si="3"/>
        <v>0</v>
      </c>
      <c r="J25" s="6">
        <f>I25</f>
        <v>0</v>
      </c>
      <c r="K25" s="62" t="s">
        <v>37</v>
      </c>
      <c r="L25" s="63">
        <f t="shared" si="4"/>
        <v>94</v>
      </c>
      <c r="M25" s="6">
        <f t="shared" si="5"/>
        <v>8</v>
      </c>
      <c r="N25" s="6">
        <f>M25</f>
        <v>8</v>
      </c>
      <c r="O25" s="62" t="s">
        <v>37</v>
      </c>
      <c r="P25" s="63">
        <f t="shared" si="6"/>
        <v>0</v>
      </c>
      <c r="Q25" s="6">
        <f t="shared" si="7"/>
        <v>0</v>
      </c>
      <c r="R25" s="6">
        <f>Q25</f>
        <v>0</v>
      </c>
    </row>
    <row r="26" spans="1:18" x14ac:dyDescent="0.35">
      <c r="B26" s="110"/>
      <c r="C26" s="62" t="s">
        <v>38</v>
      </c>
      <c r="D26" s="63">
        <f t="shared" si="0"/>
        <v>714</v>
      </c>
      <c r="E26" s="6">
        <f t="shared" si="1"/>
        <v>60</v>
      </c>
      <c r="F26" s="6">
        <f>E26</f>
        <v>60</v>
      </c>
      <c r="G26" s="62" t="s">
        <v>38</v>
      </c>
      <c r="H26" s="63">
        <f t="shared" si="2"/>
        <v>-135</v>
      </c>
      <c r="I26" s="6">
        <f t="shared" si="3"/>
        <v>-12</v>
      </c>
      <c r="J26" s="6">
        <f>I26</f>
        <v>-12</v>
      </c>
      <c r="K26" s="62" t="s">
        <v>38</v>
      </c>
      <c r="L26" s="63">
        <f t="shared" si="4"/>
        <v>-187</v>
      </c>
      <c r="M26" s="6">
        <f t="shared" si="5"/>
        <v>-16</v>
      </c>
      <c r="N26" s="6">
        <f>M26</f>
        <v>-16</v>
      </c>
      <c r="O26" s="62" t="s">
        <v>38</v>
      </c>
      <c r="P26" s="63">
        <f t="shared" si="6"/>
        <v>100</v>
      </c>
      <c r="Q26" s="6">
        <f t="shared" si="7"/>
        <v>9</v>
      </c>
      <c r="R26" s="6">
        <f>Q26</f>
        <v>9</v>
      </c>
    </row>
    <row r="27" spans="1:18" x14ac:dyDescent="0.35">
      <c r="B27" s="110"/>
      <c r="C27" s="62" t="s">
        <v>35</v>
      </c>
      <c r="D27" s="63">
        <f t="shared" si="0"/>
        <v>0</v>
      </c>
      <c r="E27" s="6">
        <f t="shared" si="1"/>
        <v>0</v>
      </c>
      <c r="F27" s="6">
        <f>E27</f>
        <v>0</v>
      </c>
      <c r="G27" s="62" t="s">
        <v>35</v>
      </c>
      <c r="H27" s="63">
        <f t="shared" si="2"/>
        <v>55</v>
      </c>
      <c r="I27" s="6">
        <f t="shared" si="3"/>
        <v>5</v>
      </c>
      <c r="J27" s="6">
        <f>I27</f>
        <v>5</v>
      </c>
      <c r="K27" s="62" t="s">
        <v>35</v>
      </c>
      <c r="L27" s="63">
        <f t="shared" si="4"/>
        <v>28</v>
      </c>
      <c r="M27" s="6">
        <f t="shared" si="5"/>
        <v>3</v>
      </c>
      <c r="N27" s="6">
        <f>M27</f>
        <v>3</v>
      </c>
      <c r="O27" s="62" t="s">
        <v>35</v>
      </c>
      <c r="P27" s="63">
        <f t="shared" si="6"/>
        <v>0</v>
      </c>
      <c r="Q27" s="6">
        <f t="shared" si="7"/>
        <v>0</v>
      </c>
      <c r="R27" s="6">
        <f>Q27</f>
        <v>0</v>
      </c>
    </row>
    <row r="28" spans="1:18" x14ac:dyDescent="0.35">
      <c r="B28" s="110"/>
      <c r="C28" s="62" t="s">
        <v>34</v>
      </c>
      <c r="D28" s="63">
        <f t="shared" si="0"/>
        <v>0</v>
      </c>
      <c r="E28" s="6">
        <f t="shared" si="1"/>
        <v>0</v>
      </c>
      <c r="F28" s="6">
        <f>E28</f>
        <v>0</v>
      </c>
      <c r="G28" s="62" t="s">
        <v>34</v>
      </c>
      <c r="H28" s="63">
        <f t="shared" si="2"/>
        <v>28</v>
      </c>
      <c r="I28" s="6">
        <f t="shared" si="3"/>
        <v>3</v>
      </c>
      <c r="J28" s="6">
        <f>I28</f>
        <v>3</v>
      </c>
      <c r="K28" s="62" t="s">
        <v>34</v>
      </c>
      <c r="L28" s="63">
        <f t="shared" si="4"/>
        <v>14</v>
      </c>
      <c r="M28" s="6">
        <f t="shared" si="5"/>
        <v>2</v>
      </c>
      <c r="N28" s="6">
        <f>M28</f>
        <v>2</v>
      </c>
      <c r="O28" s="62" t="s">
        <v>34</v>
      </c>
      <c r="P28" s="63">
        <f t="shared" si="6"/>
        <v>0</v>
      </c>
      <c r="Q28" s="6">
        <f t="shared" si="7"/>
        <v>0</v>
      </c>
      <c r="R28" s="6">
        <f>Q28</f>
        <v>0</v>
      </c>
    </row>
    <row r="29" spans="1:18" x14ac:dyDescent="0.35">
      <c r="B29" s="110"/>
      <c r="C29" s="62" t="s">
        <v>39</v>
      </c>
      <c r="D29" s="63">
        <f t="shared" si="0"/>
        <v>428</v>
      </c>
      <c r="E29" s="6">
        <f t="shared" si="1"/>
        <v>36</v>
      </c>
      <c r="F29" s="6">
        <f>D29/2</f>
        <v>214</v>
      </c>
      <c r="G29" s="62" t="s">
        <v>39</v>
      </c>
      <c r="H29" s="63">
        <f t="shared" si="2"/>
        <v>28</v>
      </c>
      <c r="I29" s="6">
        <f t="shared" si="3"/>
        <v>3</v>
      </c>
      <c r="J29" s="6">
        <f>H29/2</f>
        <v>14</v>
      </c>
      <c r="K29" s="62" t="s">
        <v>39</v>
      </c>
      <c r="L29" s="63">
        <f t="shared" si="4"/>
        <v>100</v>
      </c>
      <c r="M29" s="6">
        <f t="shared" si="5"/>
        <v>9</v>
      </c>
      <c r="N29" s="6">
        <f>L29/2</f>
        <v>50</v>
      </c>
      <c r="O29" s="62" t="s">
        <v>39</v>
      </c>
      <c r="P29" s="63">
        <f t="shared" si="6"/>
        <v>57</v>
      </c>
      <c r="Q29" s="6">
        <f t="shared" si="7"/>
        <v>5</v>
      </c>
      <c r="R29" s="6">
        <f>ROUNDUP(P29/2,0)</f>
        <v>29</v>
      </c>
    </row>
    <row r="30" spans="1:18" x14ac:dyDescent="0.35">
      <c r="B30" s="6"/>
      <c r="C30" s="6"/>
      <c r="D30" s="6"/>
      <c r="E30" s="6"/>
      <c r="F30" s="6"/>
      <c r="G30" s="6"/>
      <c r="H30" s="6"/>
      <c r="I30" s="6"/>
      <c r="J30" s="6"/>
      <c r="K30" s="6"/>
      <c r="M30" s="6"/>
      <c r="N30" s="6"/>
      <c r="O30" s="6"/>
    </row>
    <row r="31" spans="1:18" x14ac:dyDescent="0.35">
      <c r="B31" s="6"/>
      <c r="I31" s="2"/>
      <c r="J31" s="3"/>
      <c r="M31" s="2"/>
      <c r="Q31" s="2"/>
      <c r="R31" s="3"/>
    </row>
    <row r="32" spans="1:18" x14ac:dyDescent="0.35">
      <c r="B32" s="6"/>
      <c r="C32" s="6"/>
      <c r="D32" s="6"/>
      <c r="E32" s="64" t="s">
        <v>113</v>
      </c>
      <c r="F32" s="64">
        <f>SUM(F24:F29)</f>
        <v>276</v>
      </c>
      <c r="I32" s="64" t="s">
        <v>121</v>
      </c>
      <c r="J32" s="64">
        <f>SUM(J24:J29)</f>
        <v>15</v>
      </c>
      <c r="M32" s="64" t="s">
        <v>121</v>
      </c>
      <c r="N32" s="64">
        <f>SUM(N24:N29)</f>
        <v>55</v>
      </c>
      <c r="Q32" s="64" t="s">
        <v>121</v>
      </c>
      <c r="R32" s="64">
        <f>SUM(R24:R29)</f>
        <v>78</v>
      </c>
    </row>
    <row r="33" spans="2:14" x14ac:dyDescent="0.35">
      <c r="B33" s="6"/>
      <c r="C33" s="6"/>
      <c r="D33" s="6"/>
      <c r="E33" s="6"/>
      <c r="I33" s="6"/>
      <c r="J33" s="6"/>
      <c r="M33" s="6"/>
      <c r="N33" s="6"/>
    </row>
    <row r="35" spans="2:14" x14ac:dyDescent="0.35">
      <c r="B35" s="120" t="s">
        <v>123</v>
      </c>
      <c r="C35" s="120"/>
      <c r="D35" s="120"/>
      <c r="H35" s="119" t="s">
        <v>122</v>
      </c>
      <c r="I35" s="119"/>
      <c r="J35" s="119"/>
      <c r="K35" s="119"/>
    </row>
    <row r="36" spans="2:14" ht="29" x14ac:dyDescent="0.35">
      <c r="B36" s="69" t="s">
        <v>115</v>
      </c>
      <c r="C36" s="69" t="s">
        <v>113</v>
      </c>
      <c r="D36" s="69" t="s">
        <v>116</v>
      </c>
      <c r="H36" s="70" t="s">
        <v>120</v>
      </c>
      <c r="I36" s="71" t="s">
        <v>5</v>
      </c>
      <c r="J36" s="72" t="s">
        <v>6</v>
      </c>
      <c r="K36" s="72" t="s">
        <v>7</v>
      </c>
    </row>
    <row r="37" spans="2:14" x14ac:dyDescent="0.35">
      <c r="B37" s="65">
        <v>2018</v>
      </c>
      <c r="C37" s="68">
        <v>278</v>
      </c>
      <c r="D37" s="65"/>
      <c r="F37" s="67" t="s">
        <v>47</v>
      </c>
      <c r="G37" s="62" t="s">
        <v>36</v>
      </c>
      <c r="H37" s="63">
        <f t="shared" ref="H37:H42" si="8">D24</f>
        <v>23</v>
      </c>
      <c r="I37" s="63">
        <f t="shared" ref="I37:I42" si="9">H37+H24</f>
        <v>83</v>
      </c>
      <c r="J37" s="63">
        <f t="shared" ref="J37:J42" si="10">I37+L24</f>
        <v>168</v>
      </c>
      <c r="K37" s="63">
        <f t="shared" ref="K37:K42" si="11">J37+P24</f>
        <v>647</v>
      </c>
    </row>
    <row r="38" spans="2:14" x14ac:dyDescent="0.35">
      <c r="B38" s="65" t="s">
        <v>5</v>
      </c>
      <c r="C38" s="68">
        <f>C37+D38</f>
        <v>293</v>
      </c>
      <c r="D38" s="65">
        <f>J32</f>
        <v>15</v>
      </c>
      <c r="F38" s="67"/>
      <c r="G38" s="62" t="s">
        <v>37</v>
      </c>
      <c r="H38" s="63">
        <f t="shared" si="8"/>
        <v>0</v>
      </c>
      <c r="I38" s="63">
        <f t="shared" si="9"/>
        <v>0</v>
      </c>
      <c r="J38" s="63">
        <f t="shared" si="10"/>
        <v>94</v>
      </c>
      <c r="K38" s="63">
        <f t="shared" si="11"/>
        <v>94</v>
      </c>
    </row>
    <row r="39" spans="2:14" x14ac:dyDescent="0.35">
      <c r="B39" s="65" t="s">
        <v>6</v>
      </c>
      <c r="C39" s="68">
        <f>C38+D39</f>
        <v>348</v>
      </c>
      <c r="D39" s="65">
        <f>N32</f>
        <v>55</v>
      </c>
      <c r="F39" s="67"/>
      <c r="G39" s="62" t="s">
        <v>38</v>
      </c>
      <c r="H39" s="63">
        <f t="shared" si="8"/>
        <v>714</v>
      </c>
      <c r="I39" s="63">
        <f t="shared" si="9"/>
        <v>579</v>
      </c>
      <c r="J39" s="63">
        <f t="shared" si="10"/>
        <v>392</v>
      </c>
      <c r="K39" s="63">
        <f t="shared" si="11"/>
        <v>492</v>
      </c>
    </row>
    <row r="40" spans="2:14" x14ac:dyDescent="0.35">
      <c r="B40" s="65" t="s">
        <v>7</v>
      </c>
      <c r="C40" s="68">
        <f>C39+D40</f>
        <v>426</v>
      </c>
      <c r="D40" s="65">
        <f>R32</f>
        <v>78</v>
      </c>
      <c r="F40" s="67"/>
      <c r="G40" s="62" t="s">
        <v>35</v>
      </c>
      <c r="H40" s="63">
        <f t="shared" si="8"/>
        <v>0</v>
      </c>
      <c r="I40" s="63">
        <f t="shared" si="9"/>
        <v>55</v>
      </c>
      <c r="J40" s="63">
        <f t="shared" si="10"/>
        <v>83</v>
      </c>
      <c r="K40" s="63">
        <f t="shared" si="11"/>
        <v>83</v>
      </c>
    </row>
    <row r="41" spans="2:14" x14ac:dyDescent="0.35">
      <c r="B41" s="66"/>
      <c r="C41" s="66"/>
      <c r="D41" s="66">
        <f>SUM(D38:D40)</f>
        <v>148</v>
      </c>
      <c r="F41" s="67"/>
      <c r="G41" s="62" t="s">
        <v>34</v>
      </c>
      <c r="H41" s="63">
        <f t="shared" si="8"/>
        <v>0</v>
      </c>
      <c r="I41" s="63">
        <f t="shared" si="9"/>
        <v>28</v>
      </c>
      <c r="J41" s="63">
        <f t="shared" si="10"/>
        <v>42</v>
      </c>
      <c r="K41" s="63">
        <f t="shared" si="11"/>
        <v>42</v>
      </c>
    </row>
    <row r="42" spans="2:14" x14ac:dyDescent="0.35">
      <c r="B42" s="66" t="s">
        <v>117</v>
      </c>
      <c r="C42" s="66"/>
      <c r="D42" s="66"/>
      <c r="F42" s="67"/>
      <c r="G42" s="62" t="s">
        <v>39</v>
      </c>
      <c r="H42" s="63">
        <f t="shared" si="8"/>
        <v>428</v>
      </c>
      <c r="I42" s="63">
        <f t="shared" si="9"/>
        <v>456</v>
      </c>
      <c r="J42" s="63">
        <f t="shared" si="10"/>
        <v>556</v>
      </c>
      <c r="K42" s="63">
        <f t="shared" si="11"/>
        <v>613</v>
      </c>
    </row>
    <row r="43" spans="2:14" x14ac:dyDescent="0.35">
      <c r="B43" s="118" t="s">
        <v>118</v>
      </c>
      <c r="C43" s="118"/>
      <c r="D43" s="66"/>
      <c r="G43" s="95" t="s">
        <v>125</v>
      </c>
      <c r="H43" s="98">
        <f>SUM(H37:H42)</f>
        <v>1165</v>
      </c>
      <c r="I43" s="98">
        <f>SUM(I37:I42)</f>
        <v>1201</v>
      </c>
      <c r="J43" s="98">
        <f>SUM(J37:J42)</f>
        <v>1335</v>
      </c>
      <c r="K43" s="98">
        <f>SUM(K37:K42)</f>
        <v>1971</v>
      </c>
    </row>
    <row r="44" spans="2:14" ht="29" x14ac:dyDescent="0.35">
      <c r="B44" s="118" t="s">
        <v>119</v>
      </c>
      <c r="C44" s="118"/>
      <c r="D44" s="66"/>
      <c r="H44" s="95" t="s">
        <v>126</v>
      </c>
      <c r="I44" s="99">
        <f>I43-$H$43</f>
        <v>36</v>
      </c>
      <c r="J44" s="99">
        <f>J43-$H$43</f>
        <v>170</v>
      </c>
      <c r="K44" s="100">
        <f>K43-$H$43</f>
        <v>806</v>
      </c>
      <c r="L44" s="101"/>
    </row>
    <row r="45" spans="2:14" x14ac:dyDescent="0.35">
      <c r="I45" s="96"/>
    </row>
    <row r="46" spans="2:14" x14ac:dyDescent="0.35">
      <c r="I46" s="96" t="s">
        <v>124</v>
      </c>
      <c r="J46" s="97">
        <f>J44+(K44-J44)/2</f>
        <v>488</v>
      </c>
    </row>
  </sheetData>
  <mergeCells count="14">
    <mergeCell ref="B43:C43"/>
    <mergeCell ref="B44:C44"/>
    <mergeCell ref="H35:K35"/>
    <mergeCell ref="B35:D35"/>
    <mergeCell ref="J1:M1"/>
    <mergeCell ref="N1:Q1"/>
    <mergeCell ref="B17:B22"/>
    <mergeCell ref="B24:B29"/>
    <mergeCell ref="A4:A5"/>
    <mergeCell ref="A7:A9"/>
    <mergeCell ref="A12:A13"/>
    <mergeCell ref="A1:B1"/>
    <mergeCell ref="C1:E1"/>
    <mergeCell ref="F1:I1"/>
  </mergeCells>
  <phoneticPr fontId="1" type="noConversion"/>
  <pageMargins left="0.7" right="0.7" top="0.75" bottom="0.75" header="0.3" footer="0.3"/>
  <pageSetup paperSize="8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K33" sqref="K33"/>
    </sheetView>
  </sheetViews>
  <sheetFormatPr defaultRowHeight="14.5" x14ac:dyDescent="0.3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D532864B185DA9449EDD0B0960560F420100E8F89F3C4DFBE8479FB24AA7ECDCF95C" ma:contentTypeVersion="73" ma:contentTypeDescription="" ma:contentTypeScope="" ma:versionID="3d36ad9a93bfef71567899d9074b3b89">
  <xsd:schema xmlns:xsd="http://www.w3.org/2001/XMLSchema" xmlns:xs="http://www.w3.org/2001/XMLSchema" xmlns:p="http://schemas.microsoft.com/office/2006/metadata/properties" xmlns:ns2="ff5b4642-a692-4527-93d2-45a7edf1c9f9" xmlns:ns3="7531ee6d-c67c-475b-82bc-7ac77223f644" xmlns:ns4="07ac1b71-0aba-446e-be66-398fa84c8620" xmlns:ns5="50e17bcc-d7b7-459f-990b-1cd6f4156261" xmlns:ns6="e16958ec-e8ed-4d74-a8ce-e08faee98fbc" targetNamespace="http://schemas.microsoft.com/office/2006/metadata/properties" ma:root="true" ma:fieldsID="ca61f128ec14b3a846cae785ac52c7db" ns2:_="" ns3:_="" ns4:_="" ns5:_="" ns6:_="">
    <xsd:import namespace="ff5b4642-a692-4527-93d2-45a7edf1c9f9"/>
    <xsd:import namespace="7531ee6d-c67c-475b-82bc-7ac77223f644"/>
    <xsd:import namespace="07ac1b71-0aba-446e-be66-398fa84c8620"/>
    <xsd:import namespace="50e17bcc-d7b7-459f-990b-1cd6f4156261"/>
    <xsd:import namespace="e16958ec-e8ed-4d74-a8ce-e08faee98fbc"/>
    <xsd:element name="properties">
      <xsd:complexType>
        <xsd:sequence>
          <xsd:element name="documentManagement">
            <xsd:complexType>
              <xsd:all>
                <xsd:element ref="ns2:ProjectActivity" minOccurs="0"/>
                <xsd:element ref="ns3:OnBehalfOf" minOccurs="0"/>
                <xsd:element ref="ns3:Revision_x0020_Number" minOccurs="0"/>
                <xsd:element ref="ns4:DMSPartnerContractor" minOccurs="0"/>
                <xsd:element ref="ns4:DMSIssuedReceivedDate" minOccurs="0"/>
                <xsd:element ref="ns3:i6868cce13be458ea4785981c51cf29b" minOccurs="0"/>
                <xsd:element ref="ns3:p0cab2939f7147a2b9c52663a6dfd4fc" minOccurs="0"/>
                <xsd:element ref="ns3:lc758cec76a64fcfa430cac142113778" minOccurs="0"/>
                <xsd:element ref="ns3:Job_x0020_Number" minOccurs="0"/>
                <xsd:element ref="ns3:Client_x0020_Company" minOccurs="0"/>
                <xsd:element ref="ns3:Job_x0020_Name" minOccurs="0"/>
                <xsd:element ref="ns3:ife4c8ad6dc64b789ceedee1a97d65db" minOccurs="0"/>
                <xsd:element ref="ns3:pdfc03f430814220a5667e259096fb63" minOccurs="0"/>
                <xsd:element ref="ns3:facda832a42b4278b830f1255b4c0b1a" minOccurs="0"/>
                <xsd:element ref="ns3:DMSProjectCountry" minOccurs="0"/>
                <xsd:element ref="ns3:DMSProjectRegion" minOccurs="0"/>
                <xsd:element ref="ns3:DMSParentJobId" minOccurs="0"/>
                <xsd:element ref="ns5:m6ae419f5d6b4b9eb3449c699ee8b387" minOccurs="0"/>
                <xsd:element ref="ns5:gc22440bfbde4c779362ff18c49baec7" minOccurs="0"/>
                <xsd:element ref="ns2:TaxCatchAllLabel" minOccurs="0"/>
                <xsd:element ref="ns2:TaxCatchAll" minOccurs="0"/>
                <xsd:element ref="ns2:_dlc_DocIdUrl" minOccurs="0"/>
                <xsd:element ref="ns2:_dlc_DocIdPersistId" minOccurs="0"/>
                <xsd:element ref="ns2:_dlc_DocId" minOccurs="0"/>
                <xsd:element ref="ns2:Phase_x003a_Phase" minOccurs="0"/>
                <xsd:element ref="ns2:Phase_x003a_WorkPackage" minOccurs="0"/>
                <xsd:element ref="ns6:MediaServiceMetadata" minOccurs="0"/>
                <xsd:element ref="ns6:MediaServiceFastMetadata" minOccurs="0"/>
                <xsd:element ref="ns6:MediaServiceAutoKeyPoints" minOccurs="0"/>
                <xsd:element ref="ns6:MediaServiceKeyPoints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5b4642-a692-4527-93d2-45a7edf1c9f9" elementFormDefault="qualified">
    <xsd:import namespace="http://schemas.microsoft.com/office/2006/documentManagement/types"/>
    <xsd:import namespace="http://schemas.microsoft.com/office/infopath/2007/PartnerControls"/>
    <xsd:element name="ProjectActivity" ma:index="3" nillable="true" ma:displayName="Phase" ma:description="Describe the WP or part of the Project the document relates to" ma:indexed="true" ma:list="{2754aff3-8158-4019-90a2-09cf5dccae3f}" ma:internalName="ProjectActivity" ma:showField="Title" ma:web="ff5b4642-a692-4527-93d2-45a7edf1c9f9">
      <xsd:simpleType>
        <xsd:restriction base="dms:Lookup"/>
      </xsd:simpleType>
    </xsd:element>
    <xsd:element name="TaxCatchAllLabel" ma:index="34" nillable="true" ma:displayName="Taxonomy Catch All Column1" ma:hidden="true" ma:list="{77d5f668-39a8-490c-9799-7598e42adff1}" ma:internalName="TaxCatchAllLabel" ma:readOnly="false" ma:showField="CatchAllDataLabel" ma:web="ff5b4642-a692-4527-93d2-45a7edf1c9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Taxonomy Catch All Column" ma:hidden="true" ma:list="{77d5f668-39a8-490c-9799-7598e42adff1}" ma:internalName="TaxCatchAll" ma:readOnly="false" ma:showField="CatchAllData" ma:web="ff5b4642-a692-4527-93d2-45a7edf1c9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Url" ma:index="3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" ma:index="3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Phase_x003a_Phase" ma:index="40" nillable="true" ma:displayName="Phase" ma:list="{2754aff3-8158-4019-90a2-09cf5dccae3f}" ma:internalName="Phase_x003A_Phase" ma:readOnly="true" ma:showField="Phase" ma:web="ff5b4642-a692-4527-93d2-45a7edf1c9f9">
      <xsd:simpleType>
        <xsd:restriction base="dms:Lookup"/>
      </xsd:simpleType>
    </xsd:element>
    <xsd:element name="Phase_x003a_WorkPackage" ma:index="41" nillable="true" ma:displayName="Work Package" ma:list="{2754aff3-8158-4019-90a2-09cf5dccae3f}" ma:internalName="Phase_x003A_WorkPackage" ma:readOnly="true" ma:showField="WorkPackage" ma:web="ff5b4642-a692-4527-93d2-45a7edf1c9f9">
      <xsd:simpleType>
        <xsd:restriction base="dms:Lookup"/>
      </xsd:simpleType>
    </xsd:element>
    <xsd:element name="SharedWithUsers" ma:index="5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31ee6d-c67c-475b-82bc-7ac77223f644" elementFormDefault="qualified">
    <xsd:import namespace="http://schemas.microsoft.com/office/2006/documentManagement/types"/>
    <xsd:import namespace="http://schemas.microsoft.com/office/infopath/2007/PartnerControls"/>
    <xsd:element name="OnBehalfOf" ma:index="5" nillable="true" ma:displayName="On Behalf Of" ma:list="UserInfo" ma:SharePointGroup="0" ma:internalName="OnBehalfOf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sion_x0020_Number" ma:index="6" nillable="true" ma:displayName="Revision Number" ma:description="External Ref - complete as required" ma:internalName="Revision_x0020_Number" ma:readOnly="false">
      <xsd:simpleType>
        <xsd:restriction base="dms:Text">
          <xsd:maxLength value="255"/>
        </xsd:restriction>
      </xsd:simpleType>
    </xsd:element>
    <xsd:element name="i6868cce13be458ea4785981c51cf29b" ma:index="13" nillable="true" ma:taxonomy="true" ma:internalName="i6868cce13be458ea4785981c51cf29b" ma:taxonomyFieldName="Revision_x0020_Stamp" ma:displayName="Deliverable Stamp" ma:readOnly="false" ma:default="" ma:fieldId="{26868cce-13be-458e-a478-5981c51cf29b}" ma:sspId="59eaabf2-d794-4e78-86bb-992376d6023a" ma:termSetId="17dd591c-18ae-49c8-b5de-0a5befddb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0cab2939f7147a2b9c52663a6dfd4fc" ma:index="15" nillable="true" ma:taxonomy="true" ma:internalName="p0cab2939f7147a2b9c52663a6dfd4fc" ma:taxonomyFieldName="Originator" ma:displayName="Source Organisation" ma:readOnly="false" ma:default="1;#Beca|a9bbb40e-5fed-4cc0-bdb5-0fb463d1eb14" ma:fieldId="{90cab293-9f71-47a2-b9c5-2663a6dfd4fc}" ma:sspId="59eaabf2-d794-4e78-86bb-992376d6023a" ma:termSetId="dc6f6e38-0527-4a6a-896e-b0d8441eca2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c758cec76a64fcfa430cac142113778" ma:index="16" nillable="true" ma:taxonomy="true" ma:internalName="lc758cec76a64fcfa430cac142113778" ma:taxonomyFieldName="Discipline" ma:displayName="Discipline" ma:indexed="true" ma:readOnly="false" ma:default="" ma:fieldId="{5c758cec-76a6-4fcf-a430-cac142113778}" ma:sspId="59eaabf2-d794-4e78-86bb-992376d6023a" ma:termSetId="fd15f6fb-ca54-488c-8028-926dbf1e401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ob_x0020_Number" ma:index="17" nillable="true" ma:displayName="Job Number" ma:hidden="true" ma:internalName="Job_x0020_Number" ma:readOnly="false">
      <xsd:simpleType>
        <xsd:restriction base="dms:Text">
          <xsd:maxLength value="255"/>
        </xsd:restriction>
      </xsd:simpleType>
    </xsd:element>
    <xsd:element name="Client_x0020_Company" ma:index="18" nillable="true" ma:displayName="Client Company" ma:hidden="true" ma:internalName="Client_x0020_Company" ma:readOnly="false">
      <xsd:simpleType>
        <xsd:restriction base="dms:Text">
          <xsd:maxLength value="255"/>
        </xsd:restriction>
      </xsd:simpleType>
    </xsd:element>
    <xsd:element name="Job_x0020_Name" ma:index="19" nillable="true" ma:displayName="Job Name" ma:hidden="true" ma:internalName="Job_x0020_Name" ma:readOnly="false">
      <xsd:simpleType>
        <xsd:restriction base="dms:Text">
          <xsd:maxLength value="255"/>
        </xsd:restriction>
      </xsd:simpleType>
    </xsd:element>
    <xsd:element name="ife4c8ad6dc64b789ceedee1a97d65db" ma:index="21" nillable="true" ma:taxonomy="true" ma:internalName="ife4c8ad6dc64b789ceedee1a97d65db" ma:taxonomyFieldName="OwningCompany" ma:displayName="Owning Company" ma:readOnly="false" ma:default="" ma:fieldId="{2fe4c8ad-6dc6-4b78-9cee-dee1a97d65db}" ma:sspId="59eaabf2-d794-4e78-86bb-992376d6023a" ma:termSetId="006bedf8-5395-4b5f-80c3-70449bc4ff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dfc03f430814220a5667e259096fb63" ma:index="23" nillable="true" ma:taxonomy="true" ma:internalName="pdfc03f430814220a5667e259096fb63" ma:taxonomyFieldName="Document_x0020_Status" ma:displayName="Document Status" ma:indexed="true" ma:readOnly="false" ma:fieldId="{9dfc03f4-3081-4220-a566-7e259096fb63}" ma:sspId="59eaabf2-d794-4e78-86bb-992376d6023a" ma:termSetId="53875cd7-e5f7-4a88-9f58-2811d8fcdc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acda832a42b4278b830f1255b4c0b1a" ma:index="25" nillable="true" ma:taxonomy="true" ma:internalName="facda832a42b4278b830f1255b4c0b1a" ma:taxonomyFieldName="DMSProjectDocumentType" ma:displayName="Document Type" ma:indexed="true" ma:readOnly="false" ma:default="" ma:fieldId="{facda832-a42b-4278-b830-f1255b4c0b1a}" ma:sspId="59eaabf2-d794-4e78-86bb-992376d6023a" ma:termSetId="3712af3a-154e-424a-8f27-07ae9fc8dd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MSProjectCountry" ma:index="27" nillable="true" ma:displayName="Project Country" ma:hidden="true" ma:internalName="DMSProjectCountry" ma:readOnly="false">
      <xsd:simpleType>
        <xsd:restriction base="dms:Text">
          <xsd:maxLength value="255"/>
        </xsd:restriction>
      </xsd:simpleType>
    </xsd:element>
    <xsd:element name="DMSProjectRegion" ma:index="28" nillable="true" ma:displayName="Project Region" ma:hidden="true" ma:internalName="DMSProjectRegion" ma:readOnly="false">
      <xsd:simpleType>
        <xsd:restriction base="dms:Text">
          <xsd:maxLength value="255"/>
        </xsd:restriction>
      </xsd:simpleType>
    </xsd:element>
    <xsd:element name="DMSParentJobId" ma:index="29" nillable="true" ma:displayName="Parent Job Id" ma:hidden="true" ma:indexed="true" ma:internalName="DMSParentJobId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c1b71-0aba-446e-be66-398fa84c8620" elementFormDefault="qualified">
    <xsd:import namespace="http://schemas.microsoft.com/office/2006/documentManagement/types"/>
    <xsd:import namespace="http://schemas.microsoft.com/office/infopath/2007/PartnerControls"/>
    <xsd:element name="DMSPartnerContractor" ma:index="9" nillable="true" ma:displayName="Partner / Contractor" ma:default="N/A" ma:description="Add partners to this Choice list, as per project requirements" ma:format="Dropdown" ma:indexed="true" ma:internalName="DMSPartnerContractor" ma:readOnly="false">
      <xsd:simpleType>
        <xsd:restriction base="dms:Choice">
          <xsd:enumeration value="N/A"/>
        </xsd:restriction>
      </xsd:simpleType>
    </xsd:element>
    <xsd:element name="DMSIssuedReceivedDate" ma:index="10" nillable="true" ma:displayName="Issued / Received Date" ma:description="Date files issued or received" ma:format="DateOnly" ma:indexed="true" ma:internalName="DMSIssuedReceived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17bcc-d7b7-459f-990b-1cd6f4156261" elementFormDefault="qualified">
    <xsd:import namespace="http://schemas.microsoft.com/office/2006/documentManagement/types"/>
    <xsd:import namespace="http://schemas.microsoft.com/office/infopath/2007/PartnerControls"/>
    <xsd:element name="m6ae419f5d6b4b9eb3449c699ee8b387" ma:index="30" nillable="true" ma:taxonomy="true" ma:internalName="m6ae419f5d6b4b9eb3449c699ee8b387" ma:taxonomyFieldName="DMSMarketSegmentV2" ma:displayName="Market Segment" ma:readOnly="false" ma:default="" ma:fieldId="{66ae419f-5d6b-4b9e-b344-9c699ee8b387}" ma:sspId="59eaabf2-d794-4e78-86bb-992376d6023a" ma:termSetId="bb1e2ad4-5136-4e34-9032-2bd929c4372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c22440bfbde4c779362ff18c49baec7" ma:index="32" nillable="true" ma:taxonomy="true" ma:internalName="gc22440bfbde4c779362ff18c49baec7" ma:taxonomyFieldName="DMSOwningSection" ma:displayName="Owning Section" ma:readOnly="false" ma:default="" ma:fieldId="{0c22440b-fbde-4c77-9362-ff18c49baec7}" ma:sspId="59eaabf2-d794-4e78-86bb-992376d6023a" ma:termSetId="d4744c90-e617-488e-8798-9db7a396f94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6958ec-e8ed-4d74-a8ce-e08faee98f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4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46" nillable="true" ma:displayName="Tags" ma:internalName="MediaServiceAutoTags" ma:readOnly="true">
      <xsd:simpleType>
        <xsd:restriction base="dms:Text"/>
      </xsd:simpleType>
    </xsd:element>
    <xsd:element name="MediaServiceOCR" ma:index="4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4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6F5B28-9390-4E56-9DC7-C69F15B9B302}"/>
</file>

<file path=customXml/itemProps2.xml><?xml version="1.0" encoding="utf-8"?>
<ds:datastoreItem xmlns:ds="http://schemas.openxmlformats.org/officeDocument/2006/customXml" ds:itemID="{1F256BA6-E0AC-4F37-B6D8-F3195999A1C3}"/>
</file>

<file path=customXml/itemProps3.xml><?xml version="1.0" encoding="utf-8"?>
<ds:datastoreItem xmlns:ds="http://schemas.openxmlformats.org/officeDocument/2006/customXml" ds:itemID="{10848E15-5299-4F0D-9AA9-8360D699A5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Herbert, Campbell</dc:creator>
  <cp:lastModifiedBy>Sheikh, Parvez</cp:lastModifiedBy>
  <cp:lastPrinted>2020-09-17T07:10:28Z</cp:lastPrinted>
  <dcterms:created xsi:type="dcterms:W3CDTF">2020-07-22T00:27:02Z</dcterms:created>
  <dcterms:modified xsi:type="dcterms:W3CDTF">2022-06-22T06:15:09Z</dcterms:modified>
</cp:coreProperties>
</file>